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25" windowWidth="14805" windowHeight="7890" activeTab="1"/>
  </bookViews>
  <sheets>
    <sheet name="Лист4" sheetId="4" r:id="rId1"/>
    <sheet name="Лист1" sheetId="1" r:id="rId2"/>
    <sheet name="Лист2" sheetId="2" r:id="rId3"/>
    <sheet name="Лист3" sheetId="3" r:id="rId4"/>
  </sheets>
  <definedNames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Лист1!$Y$5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L25" i="1"/>
  <c r="L24"/>
  <c r="J25" l="1"/>
  <c r="H20"/>
  <c r="H19"/>
  <c r="L18"/>
  <c r="D19"/>
  <c r="B20"/>
  <c r="B24"/>
  <c r="M18"/>
  <c r="M12"/>
  <c r="M11"/>
  <c r="M10"/>
  <c r="M9"/>
  <c r="M8"/>
  <c r="M7"/>
  <c r="M6"/>
  <c r="M5"/>
  <c r="M4"/>
  <c r="M3"/>
  <c r="M2"/>
  <c r="K2"/>
  <c r="I2"/>
  <c r="G4"/>
  <c r="G3"/>
  <c r="G2"/>
  <c r="H2"/>
  <c r="I4"/>
  <c r="I3"/>
  <c r="K3"/>
  <c r="K14"/>
  <c r="E17"/>
  <c r="F15"/>
  <c r="F14"/>
  <c r="F13"/>
  <c r="F17"/>
  <c r="F12"/>
  <c r="F11"/>
  <c r="F10"/>
  <c r="F9"/>
  <c r="F8"/>
  <c r="F7"/>
  <c r="F6"/>
  <c r="F5"/>
  <c r="F4"/>
  <c r="F3"/>
  <c r="F2"/>
  <c r="E4"/>
  <c r="D17"/>
  <c r="E14"/>
  <c r="E13"/>
  <c r="E12"/>
  <c r="E11"/>
  <c r="E10"/>
  <c r="E9"/>
  <c r="E8"/>
  <c r="E7"/>
  <c r="E6"/>
  <c r="E5"/>
  <c r="E3"/>
  <c r="E2"/>
  <c r="B17"/>
  <c r="C17"/>
  <c r="D16"/>
  <c r="G31" l="1"/>
  <c r="C34"/>
  <c r="C33"/>
  <c r="C32"/>
  <c r="C31"/>
  <c r="D2" l="1"/>
  <c r="D3"/>
  <c r="D14" l="1"/>
  <c r="D13"/>
  <c r="D12"/>
  <c r="D11"/>
  <c r="D10"/>
  <c r="D9"/>
  <c r="D8"/>
  <c r="D7"/>
  <c r="D6"/>
  <c r="D5"/>
  <c r="D4"/>
  <c r="D15" l="1"/>
  <c r="I5"/>
  <c r="B21" l="1"/>
  <c r="F20" s="1"/>
  <c r="I7"/>
  <c r="I6"/>
  <c r="I14"/>
  <c r="I8"/>
  <c r="D20"/>
  <c r="I12"/>
  <c r="I9"/>
  <c r="I11"/>
  <c r="I10"/>
  <c r="I13"/>
  <c r="I17" l="1"/>
  <c r="I18" s="1"/>
  <c r="D21"/>
  <c r="G13" l="1"/>
  <c r="G11"/>
  <c r="G9"/>
  <c r="G7"/>
  <c r="G5"/>
  <c r="G14"/>
  <c r="J14" s="1"/>
  <c r="G12"/>
  <c r="G10"/>
  <c r="G8"/>
  <c r="G6"/>
  <c r="G17" l="1"/>
  <c r="J13"/>
  <c r="K13" s="1"/>
  <c r="H13"/>
  <c r="J2"/>
  <c r="J6"/>
  <c r="H6"/>
  <c r="J11"/>
  <c r="H11"/>
  <c r="J7"/>
  <c r="H7"/>
  <c r="H10"/>
  <c r="J10"/>
  <c r="H3"/>
  <c r="J3"/>
  <c r="G32"/>
  <c r="J5"/>
  <c r="H5"/>
  <c r="H14"/>
  <c r="J12"/>
  <c r="H12"/>
  <c r="H8"/>
  <c r="J8"/>
  <c r="H9"/>
  <c r="J9"/>
  <c r="H4"/>
  <c r="J4"/>
  <c r="H17" l="1"/>
  <c r="H18" s="1"/>
  <c r="L3"/>
  <c r="L10"/>
  <c r="K10"/>
  <c r="L2"/>
  <c r="K12"/>
  <c r="L12"/>
  <c r="K5"/>
  <c r="L5"/>
  <c r="L4"/>
  <c r="K4"/>
  <c r="K9"/>
  <c r="L9"/>
  <c r="L8"/>
  <c r="K8"/>
  <c r="K7"/>
  <c r="L7"/>
  <c r="L11"/>
  <c r="K11"/>
  <c r="L6"/>
  <c r="K6"/>
  <c r="F21" l="1"/>
  <c r="F19"/>
  <c r="K17"/>
  <c r="D23"/>
  <c r="F23" l="1"/>
  <c r="H23"/>
  <c r="J24"/>
  <c r="H25" l="1"/>
  <c r="H24"/>
  <c r="F24"/>
  <c r="F25"/>
</calcChain>
</file>

<file path=xl/sharedStrings.xml><?xml version="1.0" encoding="utf-8"?>
<sst xmlns="http://schemas.openxmlformats.org/spreadsheetml/2006/main" count="54" uniqueCount="47">
  <si>
    <t>№ наблюдения</t>
  </si>
  <si>
    <t>Среднее</t>
  </si>
  <si>
    <t>Суммы</t>
  </si>
  <si>
    <t>n=</t>
  </si>
  <si>
    <t>сигма Х=</t>
  </si>
  <si>
    <t>сигмаY=</t>
  </si>
  <si>
    <t>х</t>
  </si>
  <si>
    <t>у</t>
  </si>
  <si>
    <t>X^2</t>
  </si>
  <si>
    <t>Y^2</t>
  </si>
  <si>
    <t>XY</t>
  </si>
  <si>
    <t>Yt</t>
  </si>
  <si>
    <t>(Yт-Yср.)^2</t>
  </si>
  <si>
    <t>(Y-Yср)^2</t>
  </si>
  <si>
    <t>e</t>
  </si>
  <si>
    <t>A</t>
  </si>
  <si>
    <t>R2=</t>
  </si>
  <si>
    <t>r2=</t>
  </si>
  <si>
    <t>F=</t>
  </si>
  <si>
    <t>Aср.=</t>
  </si>
  <si>
    <t>Эср.=</t>
  </si>
  <si>
    <t>r=</t>
  </si>
  <si>
    <t>b=</t>
  </si>
  <si>
    <t>a=</t>
  </si>
  <si>
    <t>e^2</t>
  </si>
  <si>
    <t>()</t>
  </si>
  <si>
    <t>X0=</t>
  </si>
  <si>
    <t>Y0=</t>
  </si>
  <si>
    <t>s2=</t>
  </si>
  <si>
    <t>s2y=</t>
  </si>
  <si>
    <t>s2yср=</t>
  </si>
  <si>
    <t>t=</t>
  </si>
  <si>
    <t>ymin=</t>
  </si>
  <si>
    <t>bmin=</t>
  </si>
  <si>
    <t>s2min=</t>
  </si>
  <si>
    <t>хи1=</t>
  </si>
  <si>
    <t>ymax=</t>
  </si>
  <si>
    <t>bmax=</t>
  </si>
  <si>
    <t>s2max=</t>
  </si>
  <si>
    <t>хи2=</t>
  </si>
  <si>
    <t>КОРРЕЛ</t>
  </si>
  <si>
    <t>ПРЕДСКАЗ</t>
  </si>
  <si>
    <t>ЛИНЕЙН</t>
  </si>
  <si>
    <t>b,a=</t>
  </si>
  <si>
    <t>ТЕНДЕНЦИЯ</t>
  </si>
  <si>
    <t>НАКЛОН</t>
  </si>
  <si>
    <t>ОТРЕЗОК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</si>
</sst>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/>
    <xf numFmtId="2" fontId="0" fillId="0" borderId="0" xfId="0" applyNumberFormat="1" applyBorder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0" borderId="0" xfId="0" applyNumberFormat="1"/>
    <xf numFmtId="0" fontId="0" fillId="0" borderId="0" xfId="0" applyFill="1" applyBorder="1"/>
    <xf numFmtId="0" fontId="0" fillId="0" borderId="1" xfId="0" applyBorder="1"/>
    <xf numFmtId="0" fontId="3" fillId="0" borderId="0" xfId="0" applyFont="1" applyBorder="1" applyAlignment="1">
      <alignment horizontal="center"/>
    </xf>
    <xf numFmtId="2" fontId="0" fillId="0" borderId="0" xfId="0" applyNumberFormat="1"/>
    <xf numFmtId="10" fontId="0" fillId="0" borderId="0" xfId="0" applyNumberFormat="1"/>
    <xf numFmtId="164" fontId="0" fillId="0" borderId="1" xfId="0" applyNumberFormat="1" applyBorder="1"/>
    <xf numFmtId="164" fontId="0" fillId="0" borderId="0" xfId="0" applyNumberFormat="1" applyBorder="1"/>
    <xf numFmtId="165" fontId="0" fillId="0" borderId="1" xfId="0" applyNumberFormat="1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3"/>
  <c:chart>
    <c:autoTitleDeleted val="1"/>
    <c:plotArea>
      <c:layout/>
      <c:scatterChart>
        <c:scatterStyle val="lineMarker"/>
        <c:ser>
          <c:idx val="0"/>
          <c:order val="0"/>
          <c:tx>
            <c:v>ряд 1</c:v>
          </c:tx>
          <c:spPr>
            <a:ln w="28575">
              <a:noFill/>
            </a:ln>
          </c:spPr>
          <c:xVal>
            <c:numRef>
              <c:f>Лист1!$B$2:$B$16</c:f>
              <c:numCache>
                <c:formatCode>General</c:formatCode>
                <c:ptCount val="1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18</c:v>
                </c:pt>
                <c:pt idx="10">
                  <c:v>20</c:v>
                </c:pt>
                <c:pt idx="11">
                  <c:v>24</c:v>
                </c:pt>
                <c:pt idx="12">
                  <c:v>27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Лист1!$C$2:$C$16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241.3</c:v>
                </c:pt>
                <c:pt idx="3">
                  <c:v>207.3</c:v>
                </c:pt>
                <c:pt idx="4">
                  <c:v>186</c:v>
                </c:pt>
                <c:pt idx="5">
                  <c:v>186.3</c:v>
                </c:pt>
                <c:pt idx="6">
                  <c:v>156.30000000000001</c:v>
                </c:pt>
                <c:pt idx="7">
                  <c:v>157.6</c:v>
                </c:pt>
                <c:pt idx="8">
                  <c:v>141.30000000000001</c:v>
                </c:pt>
                <c:pt idx="9">
                  <c:v>129.19999999999999</c:v>
                </c:pt>
                <c:pt idx="10">
                  <c:v>123.3</c:v>
                </c:pt>
                <c:pt idx="11">
                  <c:v>107.9</c:v>
                </c:pt>
                <c:pt idx="12">
                  <c:v>89.3</c:v>
                </c:pt>
                <c:pt idx="13">
                  <c:v>79.5</c:v>
                </c:pt>
                <c:pt idx="14">
                  <c:v>271.3</c:v>
                </c:pt>
              </c:numCache>
            </c:numRef>
          </c:yVal>
        </c:ser>
        <c:ser>
          <c:idx val="1"/>
          <c:order val="1"/>
          <c:tx>
            <c:v>х и у</c:v>
          </c:tx>
          <c:spPr>
            <a:ln w="28575">
              <a:noFill/>
            </a:ln>
          </c:spPr>
          <c:xVal>
            <c:numRef>
              <c:f>Лист1!$B$2:$B$14</c:f>
              <c:numCache>
                <c:formatCode>General</c:formatCode>
                <c:ptCount val="13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18</c:v>
                </c:pt>
                <c:pt idx="10">
                  <c:v>20</c:v>
                </c:pt>
                <c:pt idx="11">
                  <c:v>24</c:v>
                </c:pt>
                <c:pt idx="12">
                  <c:v>27</c:v>
                </c:pt>
              </c:numCache>
            </c:numRef>
          </c:xVal>
          <c:yVal>
            <c:numRef>
              <c:f>Лист1!$G$2:$G$14</c:f>
              <c:numCache>
                <c:formatCode>General</c:formatCode>
                <c:ptCount val="13"/>
                <c:pt idx="0">
                  <c:v>109.01355683654265</c:v>
                </c:pt>
                <c:pt idx="1">
                  <c:v>109.01355683654265</c:v>
                </c:pt>
                <c:pt idx="2">
                  <c:v>-60.893824926852403</c:v>
                </c:pt>
                <c:pt idx="3">
                  <c:v>-36.953290405694389</c:v>
                </c:pt>
                <c:pt idx="4">
                  <c:v>-21.955249661557133</c:v>
                </c:pt>
                <c:pt idx="5">
                  <c:v>-22.166489672037955</c:v>
                </c:pt>
                <c:pt idx="6">
                  <c:v>-1.0424886239573397</c:v>
                </c:pt>
                <c:pt idx="7">
                  <c:v>-1.9578620027074862</c:v>
                </c:pt>
                <c:pt idx="8">
                  <c:v>9.5195119000829607</c:v>
                </c:pt>
                <c:pt idx="9">
                  <c:v>18.03952565614216</c:v>
                </c:pt>
                <c:pt idx="10">
                  <c:v>22.193912528931335</c:v>
                </c:pt>
                <c:pt idx="11">
                  <c:v>33.037566400279374</c:v>
                </c:pt>
                <c:pt idx="12">
                  <c:v>46.134447050089364</c:v>
                </c:pt>
              </c:numCache>
            </c:numRef>
          </c:yVal>
        </c:ser>
        <c:dLbls/>
        <c:axId val="136257920"/>
        <c:axId val="136259456"/>
      </c:scatterChart>
      <c:valAx>
        <c:axId val="136257920"/>
        <c:scaling>
          <c:orientation val="minMax"/>
        </c:scaling>
        <c:axPos val="b"/>
        <c:numFmt formatCode="General" sourceLinked="1"/>
        <c:majorTickMark val="none"/>
        <c:tickLblPos val="nextTo"/>
        <c:crossAx val="136259456"/>
        <c:crosses val="autoZero"/>
        <c:crossBetween val="midCat"/>
      </c:valAx>
      <c:valAx>
        <c:axId val="136259456"/>
        <c:scaling>
          <c:orientation val="minMax"/>
        </c:scaling>
        <c:axPos val="l"/>
        <c:numFmt formatCode="General" sourceLinked="1"/>
        <c:majorTickMark val="none"/>
        <c:tickLblPos val="nextTo"/>
        <c:crossAx val="1362579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6</xdr:row>
      <xdr:rowOff>47625</xdr:rowOff>
    </xdr:from>
    <xdr:to>
      <xdr:col>21</xdr:col>
      <xdr:colOff>419100</xdr:colOff>
      <xdr:row>20</xdr:row>
      <xdr:rowOff>123825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V27" sqref="V27"/>
    </sheetView>
  </sheetViews>
  <sheetFormatPr defaultRowHeight="15"/>
  <cols>
    <col min="2" max="2" width="10.28515625" bestFit="1" customWidth="1"/>
    <col min="3" max="3" width="17" customWidth="1"/>
    <col min="8" max="8" width="12.5703125" customWidth="1"/>
    <col min="10" max="10" width="10.28515625" bestFit="1" customWidth="1"/>
    <col min="11" max="11" width="9.7109375" customWidth="1"/>
    <col min="12" max="12" width="10" bestFit="1" customWidth="1"/>
  </cols>
  <sheetData>
    <row r="1" spans="1:13" ht="45">
      <c r="A1" s="1" t="s">
        <v>0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5" t="s">
        <v>12</v>
      </c>
      <c r="I1" s="1" t="s">
        <v>13</v>
      </c>
      <c r="J1" s="1" t="s">
        <v>14</v>
      </c>
      <c r="K1" s="5" t="s">
        <v>15</v>
      </c>
      <c r="L1" s="10" t="s">
        <v>24</v>
      </c>
      <c r="M1" s="10" t="s">
        <v>25</v>
      </c>
    </row>
    <row r="2" spans="1:13">
      <c r="A2" s="2">
        <v>1</v>
      </c>
      <c r="B2" s="2">
        <v>2</v>
      </c>
      <c r="C2">
        <v>0</v>
      </c>
      <c r="D2" s="2">
        <f>B2*B2</f>
        <v>4</v>
      </c>
      <c r="E2" s="11">
        <f>C2*C2</f>
        <v>0</v>
      </c>
      <c r="F2">
        <f>B2*C2</f>
        <v>0</v>
      </c>
      <c r="G2">
        <f>$D$21+$D$20*C2</f>
        <v>109.01355683654265</v>
      </c>
      <c r="H2" s="11">
        <f>(G2-$B$17)^2</f>
        <v>9502.3939742356415</v>
      </c>
      <c r="I2">
        <f>(B2-$B$17)^2</f>
        <v>90.884444444444441</v>
      </c>
      <c r="J2">
        <f t="shared" ref="J2:J13" si="0">B2-G2</f>
        <v>-107.01355683654265</v>
      </c>
      <c r="K2" s="12">
        <f>ABS(J2/B2)</f>
        <v>53.506778418271324</v>
      </c>
      <c r="L2">
        <f>J2*J2</f>
        <v>11451.901346807943</v>
      </c>
      <c r="M2">
        <f>(C2-$C$17)^2</f>
        <v>19165.633600000001</v>
      </c>
    </row>
    <row r="3" spans="1:13">
      <c r="A3" s="2">
        <v>2</v>
      </c>
      <c r="B3" s="2">
        <v>4</v>
      </c>
      <c r="C3">
        <v>0</v>
      </c>
      <c r="D3" s="2">
        <f t="shared" ref="D3:D16" si="1">B3*B3</f>
        <v>16</v>
      </c>
      <c r="E3" s="11">
        <f>C3*C3</f>
        <v>0</v>
      </c>
      <c r="F3">
        <f>B3*C3</f>
        <v>0</v>
      </c>
      <c r="G3">
        <f>$D$21+$D$20*C3</f>
        <v>109.01355683654265</v>
      </c>
      <c r="H3" s="11">
        <f t="shared" ref="H2:H14" si="2">(G3-$B$17)^2</f>
        <v>9502.3939742356415</v>
      </c>
      <c r="I3">
        <f>(B3-$B$17)^2</f>
        <v>56.751111111111108</v>
      </c>
      <c r="J3">
        <f t="shared" si="0"/>
        <v>-105.01355683654265</v>
      </c>
      <c r="K3" s="12">
        <f>ABS(J3/B3)</f>
        <v>26.253389209135662</v>
      </c>
      <c r="L3">
        <f t="shared" ref="L2:L12" si="3">J3*J3</f>
        <v>11027.847119461772</v>
      </c>
      <c r="M3">
        <f>(C3-$C$17)^2</f>
        <v>19165.633600000001</v>
      </c>
    </row>
    <row r="4" spans="1:13">
      <c r="A4" s="2">
        <v>3</v>
      </c>
      <c r="B4" s="2">
        <v>6</v>
      </c>
      <c r="C4">
        <v>241.3</v>
      </c>
      <c r="D4" s="2">
        <f t="shared" si="1"/>
        <v>36</v>
      </c>
      <c r="E4" s="11">
        <f>C4*C4</f>
        <v>58225.69</v>
      </c>
      <c r="F4">
        <f>B4*C4</f>
        <v>1447.8000000000002</v>
      </c>
      <c r="G4">
        <f>$D$21+$D$20*C4</f>
        <v>-60.893824926852403</v>
      </c>
      <c r="H4" s="11">
        <f t="shared" si="2"/>
        <v>5245.6932536459908</v>
      </c>
      <c r="I4">
        <f>(B4-$B$17)^2</f>
        <v>30.617777777777775</v>
      </c>
      <c r="J4">
        <f t="shared" si="0"/>
        <v>66.893824926852403</v>
      </c>
      <c r="K4" s="12">
        <f t="shared" ref="K2:K12" si="4">ABS(J4/B4)</f>
        <v>11.148970821142067</v>
      </c>
      <c r="L4">
        <f t="shared" si="3"/>
        <v>4474.7838133443802</v>
      </c>
      <c r="M4">
        <f>(C4-$C$17)^2</f>
        <v>10580.179600000003</v>
      </c>
    </row>
    <row r="5" spans="1:13">
      <c r="A5" s="2">
        <v>4</v>
      </c>
      <c r="B5" s="2">
        <v>8</v>
      </c>
      <c r="C5">
        <v>207.3</v>
      </c>
      <c r="D5" s="2">
        <f t="shared" si="1"/>
        <v>64</v>
      </c>
      <c r="E5" s="11">
        <f>C5*C5</f>
        <v>42973.290000000008</v>
      </c>
      <c r="F5">
        <f>B5*C5</f>
        <v>1658.4</v>
      </c>
      <c r="G5">
        <f>$D$21+$D$20*C5</f>
        <v>-36.953290405694389</v>
      </c>
      <c r="H5" s="11">
        <f t="shared" si="2"/>
        <v>2350.9526816100465</v>
      </c>
      <c r="I5">
        <f t="shared" ref="I2:I16" si="5">(B5-$B$17)^2</f>
        <v>12.484444444444444</v>
      </c>
      <c r="J5">
        <f t="shared" si="0"/>
        <v>44.953290405694389</v>
      </c>
      <c r="K5" s="12">
        <f t="shared" si="4"/>
        <v>5.6191613007117986</v>
      </c>
      <c r="L5">
        <f t="shared" si="3"/>
        <v>2020.7983182986952</v>
      </c>
      <c r="M5">
        <f>(C5-$C$17)^2</f>
        <v>4741.6996000000017</v>
      </c>
    </row>
    <row r="6" spans="1:13">
      <c r="A6" s="2">
        <v>5</v>
      </c>
      <c r="B6" s="2">
        <v>9</v>
      </c>
      <c r="C6">
        <v>186</v>
      </c>
      <c r="D6" s="2">
        <f t="shared" si="1"/>
        <v>81</v>
      </c>
      <c r="E6" s="11">
        <f>C6*C6</f>
        <v>34596</v>
      </c>
      <c r="F6">
        <f>B6*C6</f>
        <v>1674</v>
      </c>
      <c r="G6">
        <f>$D$21+$D$20*C6</f>
        <v>-21.955249661557133</v>
      </c>
      <c r="H6" s="11">
        <f t="shared" si="2"/>
        <v>1121.4851910056668</v>
      </c>
      <c r="I6">
        <f t="shared" si="5"/>
        <v>6.4177777777777774</v>
      </c>
      <c r="J6">
        <f t="shared" si="0"/>
        <v>30.955249661557133</v>
      </c>
      <c r="K6" s="12">
        <f t="shared" si="4"/>
        <v>3.4394721846174594</v>
      </c>
      <c r="L6">
        <f t="shared" si="3"/>
        <v>958.22748160933304</v>
      </c>
      <c r="M6">
        <f>(C6-$C$17)^2</f>
        <v>2261.9536000000003</v>
      </c>
    </row>
    <row r="7" spans="1:13">
      <c r="A7" s="2">
        <v>6</v>
      </c>
      <c r="B7" s="2">
        <v>10</v>
      </c>
      <c r="C7">
        <v>186.3</v>
      </c>
      <c r="D7" s="2">
        <f t="shared" si="1"/>
        <v>100</v>
      </c>
      <c r="E7" s="11">
        <f>C7*C7</f>
        <v>34707.69</v>
      </c>
      <c r="F7">
        <f>B7*C7</f>
        <v>1863</v>
      </c>
      <c r="G7">
        <f>$D$21+$D$20*C7</f>
        <v>-22.166489672037955</v>
      </c>
      <c r="H7" s="11">
        <f t="shared" si="2"/>
        <v>1135.6780705933518</v>
      </c>
      <c r="I7">
        <f t="shared" si="5"/>
        <v>2.3511111111111109</v>
      </c>
      <c r="J7">
        <f t="shared" si="0"/>
        <v>32.166489672037955</v>
      </c>
      <c r="K7" s="12">
        <f t="shared" si="4"/>
        <v>3.2166489672037955</v>
      </c>
      <c r="L7">
        <f t="shared" si="3"/>
        <v>1034.6830578213244</v>
      </c>
      <c r="M7">
        <f>(C7-$C$17)^2</f>
        <v>2290.5796000000014</v>
      </c>
    </row>
    <row r="8" spans="1:13">
      <c r="A8" s="2">
        <v>7</v>
      </c>
      <c r="B8" s="2">
        <v>13</v>
      </c>
      <c r="C8">
        <v>156.30000000000001</v>
      </c>
      <c r="D8" s="2">
        <f t="shared" si="1"/>
        <v>169</v>
      </c>
      <c r="E8" s="11">
        <f>C8*C8</f>
        <v>24429.690000000002</v>
      </c>
      <c r="F8">
        <f>B8*C8</f>
        <v>2031.9</v>
      </c>
      <c r="G8">
        <f>$D$21+$D$20*C8</f>
        <v>-1.0424886239573397</v>
      </c>
      <c r="H8" s="11">
        <f t="shared" si="2"/>
        <v>158.15129790147421</v>
      </c>
      <c r="I8">
        <f t="shared" si="5"/>
        <v>2.1511111111111116</v>
      </c>
      <c r="J8">
        <f t="shared" si="0"/>
        <v>14.04248862395734</v>
      </c>
      <c r="K8" s="12">
        <f t="shared" si="4"/>
        <v>1.0801914326121032</v>
      </c>
      <c r="L8">
        <f t="shared" si="3"/>
        <v>197.1914867539713</v>
      </c>
      <c r="M8">
        <f>(C8-$C$17)^2</f>
        <v>318.97960000000046</v>
      </c>
    </row>
    <row r="9" spans="1:13">
      <c r="A9" s="2">
        <v>8</v>
      </c>
      <c r="B9" s="2">
        <v>15</v>
      </c>
      <c r="C9">
        <v>157.6</v>
      </c>
      <c r="D9" s="2">
        <f t="shared" si="1"/>
        <v>225</v>
      </c>
      <c r="E9" s="11">
        <f>C9*C9</f>
        <v>24837.759999999998</v>
      </c>
      <c r="F9">
        <f>B9*C9</f>
        <v>2364</v>
      </c>
      <c r="G9">
        <f>$D$21+$D$20*C9</f>
        <v>-1.9578620027074862</v>
      </c>
      <c r="H9" s="11">
        <f t="shared" si="2"/>
        <v>182.01235159520957</v>
      </c>
      <c r="I9">
        <f t="shared" si="5"/>
        <v>12.017777777777779</v>
      </c>
      <c r="J9">
        <f t="shared" si="0"/>
        <v>16.957862002707486</v>
      </c>
      <c r="K9" s="12">
        <f t="shared" si="4"/>
        <v>1.1305241335138325</v>
      </c>
      <c r="L9">
        <f t="shared" si="3"/>
        <v>287.56908370287033</v>
      </c>
      <c r="M9">
        <f>(C9-$C$17)^2</f>
        <v>367.10559999999987</v>
      </c>
    </row>
    <row r="10" spans="1:13">
      <c r="A10" s="2">
        <v>9</v>
      </c>
      <c r="B10" s="2">
        <v>17</v>
      </c>
      <c r="C10">
        <v>141.30000000000001</v>
      </c>
      <c r="D10" s="2">
        <f t="shared" si="1"/>
        <v>289</v>
      </c>
      <c r="E10" s="11">
        <f>C10*C10</f>
        <v>19965.690000000002</v>
      </c>
      <c r="F10">
        <f>B10*C10</f>
        <v>2402.1000000000004</v>
      </c>
      <c r="G10">
        <f>$D$21+$D$20*C10</f>
        <v>9.5195119000829607</v>
      </c>
      <c r="H10" s="11">
        <f t="shared" si="2"/>
        <v>4.055476765018585</v>
      </c>
      <c r="I10">
        <f t="shared" si="5"/>
        <v>29.884444444444444</v>
      </c>
      <c r="J10">
        <f t="shared" si="0"/>
        <v>7.4804880999170393</v>
      </c>
      <c r="K10" s="12">
        <f t="shared" si="4"/>
        <v>0.44002871175982583</v>
      </c>
      <c r="L10">
        <f t="shared" si="3"/>
        <v>55.957702213000438</v>
      </c>
      <c r="M10">
        <f>(C10-$C$17)^2</f>
        <v>8.1796000000000788</v>
      </c>
    </row>
    <row r="11" spans="1:13">
      <c r="A11" s="2">
        <v>10</v>
      </c>
      <c r="B11" s="2">
        <v>18</v>
      </c>
      <c r="C11">
        <v>129.19999999999999</v>
      </c>
      <c r="D11" s="2">
        <f t="shared" si="1"/>
        <v>324</v>
      </c>
      <c r="E11" s="11">
        <f>C11*C11</f>
        <v>16692.639999999996</v>
      </c>
      <c r="F11">
        <f>B11*C11</f>
        <v>2325.6</v>
      </c>
      <c r="G11">
        <f>$D$21+$D$20*C11</f>
        <v>18.03952565614216</v>
      </c>
      <c r="H11" s="11">
        <f t="shared" si="2"/>
        <v>42.330538541376519</v>
      </c>
      <c r="I11">
        <f t="shared" si="5"/>
        <v>41.817777777777778</v>
      </c>
      <c r="J11">
        <f>B11-G11</f>
        <v>-3.9525656142160415E-2</v>
      </c>
      <c r="K11" s="12">
        <f t="shared" si="4"/>
        <v>2.1958697856755784E-3</v>
      </c>
      <c r="L11">
        <f>J11*J11</f>
        <v>1.5622774934683033E-3</v>
      </c>
      <c r="M11">
        <f>(C11-$C$17)^2</f>
        <v>85.377600000000172</v>
      </c>
    </row>
    <row r="12" spans="1:13">
      <c r="A12" s="2">
        <v>11</v>
      </c>
      <c r="B12" s="2">
        <v>20</v>
      </c>
      <c r="C12">
        <v>123.3</v>
      </c>
      <c r="D12" s="2">
        <f t="shared" si="1"/>
        <v>400</v>
      </c>
      <c r="E12" s="11">
        <f>C12*C12</f>
        <v>15202.89</v>
      </c>
      <c r="F12">
        <f>B12*C12</f>
        <v>2466</v>
      </c>
      <c r="G12">
        <f>$D$21+$D$20*C12</f>
        <v>22.193912528931335</v>
      </c>
      <c r="H12" s="11">
        <f t="shared" si="2"/>
        <v>113.64794878561695</v>
      </c>
      <c r="I12">
        <f t="shared" si="5"/>
        <v>71.684444444444452</v>
      </c>
      <c r="J12">
        <f t="shared" si="0"/>
        <v>-2.1939125289313353</v>
      </c>
      <c r="K12" s="12">
        <f>ABS(J12/B12)</f>
        <v>0.10969562644656676</v>
      </c>
      <c r="L12">
        <f t="shared" si="3"/>
        <v>4.813252184601887</v>
      </c>
      <c r="M12">
        <f>(C12-$C$17)^2</f>
        <v>229.21960000000001</v>
      </c>
    </row>
    <row r="13" spans="1:13">
      <c r="A13" s="2">
        <v>12</v>
      </c>
      <c r="B13" s="2">
        <v>24</v>
      </c>
      <c r="C13">
        <v>107.9</v>
      </c>
      <c r="D13" s="2">
        <f t="shared" si="1"/>
        <v>576</v>
      </c>
      <c r="E13" s="11">
        <f>C13*C13</f>
        <v>11642.410000000002</v>
      </c>
      <c r="F13">
        <f>B13*C13</f>
        <v>2589.6000000000004</v>
      </c>
      <c r="G13">
        <f>$D$21+$D$20*C13</f>
        <v>33.037566400279374</v>
      </c>
      <c r="H13" s="11">
        <f t="shared" si="2"/>
        <v>462.43203979753559</v>
      </c>
      <c r="I13">
        <f t="shared" si="5"/>
        <v>155.41777777777779</v>
      </c>
      <c r="J13">
        <f>B13-G13</f>
        <v>-9.0375664002793741</v>
      </c>
      <c r="K13" s="12">
        <f>ABS(J13/B13)</f>
        <v>0.37656526667830725</v>
      </c>
      <c r="L13">
        <v>0</v>
      </c>
    </row>
    <row r="14" spans="1:13">
      <c r="A14" s="2">
        <v>13</v>
      </c>
      <c r="B14" s="2">
        <v>27</v>
      </c>
      <c r="C14">
        <v>89.3</v>
      </c>
      <c r="D14" s="2">
        <f t="shared" si="1"/>
        <v>729</v>
      </c>
      <c r="E14" s="11">
        <f>C14*C14</f>
        <v>7974.49</v>
      </c>
      <c r="F14">
        <f>B14*C14</f>
        <v>2411.1</v>
      </c>
      <c r="G14">
        <f>$D$21+$D$20*C14</f>
        <v>46.134447050089364</v>
      </c>
      <c r="H14" s="11">
        <f t="shared" si="2"/>
        <v>1197.2370704398825</v>
      </c>
      <c r="I14">
        <f t="shared" si="5"/>
        <v>239.21777777777777</v>
      </c>
      <c r="J14" s="16">
        <f>B14-G14</f>
        <v>-19.134447050089364</v>
      </c>
      <c r="K14" s="12">
        <f>ABS(J14/B14)</f>
        <v>0.70868322407738382</v>
      </c>
      <c r="L14">
        <v>0</v>
      </c>
      <c r="M14">
        <v>0</v>
      </c>
    </row>
    <row r="15" spans="1:13">
      <c r="A15" s="8">
        <v>14</v>
      </c>
      <c r="B15" s="8">
        <v>0</v>
      </c>
      <c r="C15">
        <v>79.5</v>
      </c>
      <c r="D15" s="8">
        <f t="shared" si="1"/>
        <v>0</v>
      </c>
      <c r="E15">
        <v>0</v>
      </c>
      <c r="F15">
        <f>B15*C15</f>
        <v>0</v>
      </c>
      <c r="G15">
        <v>0</v>
      </c>
      <c r="H15">
        <v>0</v>
      </c>
      <c r="I15">
        <v>0</v>
      </c>
      <c r="J15">
        <v>0</v>
      </c>
      <c r="K15" s="11">
        <v>0</v>
      </c>
      <c r="L15">
        <v>0</v>
      </c>
      <c r="M15">
        <v>0</v>
      </c>
    </row>
    <row r="16" spans="1:13">
      <c r="A16" s="8">
        <v>15</v>
      </c>
      <c r="B16" s="8">
        <v>0</v>
      </c>
      <c r="C16">
        <v>271.3</v>
      </c>
      <c r="D16" s="8">
        <f t="shared" si="1"/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 s="11">
        <v>0</v>
      </c>
      <c r="L16">
        <v>0</v>
      </c>
      <c r="M16">
        <v>0</v>
      </c>
    </row>
    <row r="17" spans="1:13">
      <c r="A17" s="3" t="s">
        <v>1</v>
      </c>
      <c r="B17" s="4">
        <f>AVERAGE(B2:B16)</f>
        <v>11.533333333333333</v>
      </c>
      <c r="C17">
        <f>AVERAGE(C2:C16)</f>
        <v>138.44</v>
      </c>
      <c r="D17" s="8">
        <f>AVERAGE(D2:D16)</f>
        <v>200.86666666666667</v>
      </c>
      <c r="E17" s="11">
        <f>AVERAGE(E2:E16)</f>
        <v>19416.549333333332</v>
      </c>
      <c r="F17">
        <f>AVERAGE(F2:F16)</f>
        <v>1548.9</v>
      </c>
      <c r="G17">
        <f>AVERAGE(G2:G16)</f>
        <v>13.465524794386919</v>
      </c>
      <c r="H17">
        <f>AVERAGE(H2:H16)</f>
        <v>2067.8975912768301</v>
      </c>
      <c r="I17">
        <f>AVERAGE(I2:I16)</f>
        <v>50.113185185185188</v>
      </c>
      <c r="K17" s="12">
        <f>AVERAGE(K2:K16)</f>
        <v>7.1354870110637201</v>
      </c>
      <c r="L17">
        <v>0</v>
      </c>
      <c r="M17">
        <v>0</v>
      </c>
    </row>
    <row r="18" spans="1:13">
      <c r="A18" s="3" t="s">
        <v>2</v>
      </c>
      <c r="H18" s="11">
        <f>SUM(H2:H17)</f>
        <v>33086.361460429282</v>
      </c>
      <c r="I18">
        <f>SUM(I2:I17)</f>
        <v>801.810962962963</v>
      </c>
      <c r="L18">
        <f>SUM(L2:L17)</f>
        <v>31513.774224475383</v>
      </c>
      <c r="M18">
        <f>SUM(M2:M16)</f>
        <v>59214.541600000011</v>
      </c>
    </row>
    <row r="19" spans="1:13">
      <c r="A19" s="3" t="s">
        <v>3</v>
      </c>
      <c r="B19">
        <v>15</v>
      </c>
      <c r="C19" s="6" t="s">
        <v>21</v>
      </c>
      <c r="D19" s="7">
        <f>(F17-C17*B17)/(B20*B21)</f>
        <v>-1.4688394374069878E-2</v>
      </c>
      <c r="E19" t="s">
        <v>16</v>
      </c>
      <c r="F19">
        <f>H18/I18</f>
        <v>41.264541130946839</v>
      </c>
      <c r="G19" t="s">
        <v>19</v>
      </c>
      <c r="H19" s="12">
        <f>K17</f>
        <v>7.1354870110637201</v>
      </c>
    </row>
    <row r="20" spans="1:13">
      <c r="A20" s="3" t="s">
        <v>4</v>
      </c>
      <c r="B20">
        <f>SQRT(D14-B14)</f>
        <v>26.49528259898354</v>
      </c>
      <c r="C20" s="6" t="s">
        <v>22</v>
      </c>
      <c r="D20">
        <f>(F17-B17*C17)/(D17-B17*B17)</f>
        <v>-0.70413336826935369</v>
      </c>
      <c r="E20" t="s">
        <v>17</v>
      </c>
      <c r="F20">
        <f>D19*D19</f>
        <v>2.1574892928820765E-4</v>
      </c>
      <c r="G20" t="s">
        <v>20</v>
      </c>
      <c r="H20" s="12">
        <f>D20*C17/B17</f>
        <v>-8.4520425002782638</v>
      </c>
    </row>
    <row r="21" spans="1:13">
      <c r="A21" s="3" t="s">
        <v>5</v>
      </c>
      <c r="B21">
        <f>SQRT(E12-B17*B17)</f>
        <v>122.75940787663576</v>
      </c>
      <c r="C21" s="6" t="s">
        <v>23</v>
      </c>
      <c r="D21">
        <f>B17-D20*C17</f>
        <v>109.01355683654265</v>
      </c>
      <c r="E21" t="s">
        <v>18</v>
      </c>
      <c r="F21">
        <f>H18*(B19-2)/(I18-H18)</f>
        <v>-13.322864725012558</v>
      </c>
    </row>
    <row r="23" spans="1:13">
      <c r="A23" t="s">
        <v>26</v>
      </c>
      <c r="B23">
        <v>12</v>
      </c>
      <c r="C23" s="2" t="s">
        <v>28</v>
      </c>
      <c r="D23" s="2">
        <f>L18/(B19-2)</f>
        <v>2424.1364788057986</v>
      </c>
      <c r="E23" s="2" t="s">
        <v>29</v>
      </c>
      <c r="F23" s="2">
        <f>D23*(1+1/B19+(B23-C17)^2/M18)</f>
        <v>3240.2275214549354</v>
      </c>
      <c r="G23" s="2" t="s">
        <v>30</v>
      </c>
      <c r="H23" s="14">
        <f>D23*(1/B19+(B23-C17)^2/M18)</f>
        <v>816.09104264913697</v>
      </c>
      <c r="I23" s="2"/>
      <c r="J23" s="2"/>
      <c r="K23" s="2"/>
      <c r="L23" s="2"/>
    </row>
    <row r="24" spans="1:13">
      <c r="A24" t="s">
        <v>27</v>
      </c>
      <c r="B24" s="11">
        <f>D21+D20*18</f>
        <v>96.339156207694288</v>
      </c>
      <c r="C24" s="2" t="s">
        <v>31</v>
      </c>
      <c r="D24" s="2">
        <v>2.23</v>
      </c>
      <c r="E24" s="2" t="s">
        <v>32</v>
      </c>
      <c r="F24" s="2">
        <f>B24-D24*SQRT(F23)</f>
        <v>-30.599125809368033</v>
      </c>
      <c r="G24" s="2" t="s">
        <v>32</v>
      </c>
      <c r="H24" s="14">
        <f>B24-D24*SQRT(H23)</f>
        <v>32.634061074024693</v>
      </c>
      <c r="I24" s="2" t="s">
        <v>33</v>
      </c>
      <c r="J24" s="14">
        <f>D20-D24*SQRT(D23)/SQRT(M18)</f>
        <v>-1.1553334926739454</v>
      </c>
      <c r="K24" s="2" t="s">
        <v>34</v>
      </c>
      <c r="L24" s="2">
        <f>B19*D23/D25</f>
        <v>1424.2870028236184</v>
      </c>
    </row>
    <row r="25" spans="1:13">
      <c r="C25" s="2" t="s">
        <v>35</v>
      </c>
      <c r="D25" s="2">
        <v>25.53</v>
      </c>
      <c r="E25" s="2" t="s">
        <v>36</v>
      </c>
      <c r="F25" s="2">
        <f>B24+D24*SQRT(F23)</f>
        <v>223.27743822475662</v>
      </c>
      <c r="G25" s="2" t="s">
        <v>36</v>
      </c>
      <c r="H25" s="14">
        <f>B24+D24*SQRT(H23)</f>
        <v>160.04425134136389</v>
      </c>
      <c r="I25" s="2" t="s">
        <v>37</v>
      </c>
      <c r="J25" s="14">
        <f>D20+D24*SQRT(D23)/SQRT(M18)</f>
        <v>-0.25293324386476196</v>
      </c>
      <c r="K25" s="2" t="s">
        <v>38</v>
      </c>
      <c r="L25" s="2">
        <f>B19*D23/D26</f>
        <v>8359.0913062268919</v>
      </c>
    </row>
    <row r="26" spans="1:13">
      <c r="C26" s="2" t="s">
        <v>39</v>
      </c>
      <c r="D26" s="2">
        <v>4.3499999999999996</v>
      </c>
      <c r="E26" s="2"/>
      <c r="F26" s="2"/>
      <c r="G26" s="2"/>
      <c r="H26" s="2"/>
      <c r="I26" s="2"/>
      <c r="J26" s="2"/>
      <c r="K26" s="2"/>
      <c r="L26" s="2"/>
    </row>
    <row r="31" spans="1:13">
      <c r="A31" s="9" t="s">
        <v>40</v>
      </c>
      <c r="B31" s="9" t="s">
        <v>21</v>
      </c>
      <c r="C31" s="15">
        <f>CORREL(B2:B14,C4:C16)</f>
        <v>-0.3590621944529539</v>
      </c>
      <c r="D31" s="9" t="s">
        <v>41</v>
      </c>
      <c r="E31" s="9"/>
      <c r="F31" s="9" t="s">
        <v>27</v>
      </c>
      <c r="G31" s="9">
        <f>FORECAST(B23,C4:C16,B2:B14)</f>
        <v>163.23699134199134</v>
      </c>
      <c r="H31" s="15"/>
    </row>
    <row r="32" spans="1:13">
      <c r="A32" s="9" t="s">
        <v>42</v>
      </c>
      <c r="B32" s="9" t="s">
        <v>43</v>
      </c>
      <c r="C32" s="13">
        <f>LINEST(C4:C16,B2:B14)</f>
        <v>-2.675346320346319</v>
      </c>
      <c r="D32" s="9" t="s">
        <v>44</v>
      </c>
      <c r="E32" s="9"/>
      <c r="F32" s="9" t="s">
        <v>27</v>
      </c>
      <c r="G32" s="9">
        <f>TREND(C4:C16,B2:B14,B23,B24)</f>
        <v>163.23699134199134</v>
      </c>
      <c r="H32" s="15"/>
    </row>
    <row r="33" spans="1:8">
      <c r="A33" s="9" t="s">
        <v>45</v>
      </c>
      <c r="B33" s="9" t="s">
        <v>22</v>
      </c>
      <c r="C33" s="13">
        <f>SLOPE(C4:C16,B2:B14)</f>
        <v>-2.6753463203463208</v>
      </c>
      <c r="D33" s="9"/>
      <c r="E33" s="9"/>
      <c r="F33" s="9"/>
      <c r="G33" s="9"/>
      <c r="H33" s="9"/>
    </row>
    <row r="34" spans="1:8">
      <c r="A34" s="9" t="s">
        <v>46</v>
      </c>
      <c r="B34" s="9" t="s">
        <v>23</v>
      </c>
      <c r="C34" s="9">
        <f>INTERCEPT(C4:C16,B2:B14)</f>
        <v>195.3411471861472</v>
      </c>
      <c r="D34" s="9"/>
      <c r="E34" s="9"/>
      <c r="F34" s="9"/>
      <c r="G34" s="9"/>
      <c r="H34" s="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2016-12-14T16:38:10Z</dcterms:modified>
</cp:coreProperties>
</file>